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15" windowHeight="11055" activeTab="0"/>
  </bookViews>
  <sheets>
    <sheet name="Stomatologi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<sst xmlns="http://schemas.openxmlformats.org/spreadsheetml/2006/main" count="37" uniqueCount="23">
  <si>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TOTAL</t>
  </si>
  <si>
    <t>SC BIODENT SRL 1 primar urban</t>
  </si>
  <si>
    <t>CROITORU VICTORIA - specialist urban</t>
  </si>
  <si>
    <t>FILIP MARIA - primar urban</t>
  </si>
  <si>
    <t>CIUDIN SILVIU-MIHAI - dentist rural</t>
  </si>
  <si>
    <t>NEGOITA VIORICA - dentist rural</t>
  </si>
  <si>
    <t>POPOVSCHI ARISTIDE - primar urban</t>
  </si>
  <si>
    <t>RASPOP KETTY SILVIA - dentist rural</t>
  </si>
  <si>
    <t>VASILE CRISTIAN - dentist rural</t>
  </si>
  <si>
    <t>SPLENDENT - Dr.Petcu Georgiana - dentist rural</t>
  </si>
  <si>
    <t>S.C.INTERDENTAL - Dr.Ion Irina Madalina Dr.Tudor Mihai Adrian - dentist urban</t>
  </si>
  <si>
    <t>LUNA</t>
  </si>
  <si>
    <t>CARASTOIAN MARIANA THALIDA - dentist rural</t>
  </si>
  <si>
    <t xml:space="preserve"> DR. DOBRE CATALIN - dentist rural</t>
  </si>
  <si>
    <t>CONTRACTAT</t>
  </si>
  <si>
    <t>TRIM.I 2021</t>
  </si>
  <si>
    <t>TRIM.II 2021</t>
  </si>
  <si>
    <t>TRIM.III 2021</t>
  </si>
  <si>
    <t>TOTAL TRIM IV 2021</t>
  </si>
  <si>
    <t>TOTAL GENERAL 2021</t>
  </si>
  <si>
    <t>Valori contractate pentru servicii medicale de Medicină Dentară - AN 2021</t>
  </si>
  <si>
    <t>DENUMIRE FURNIZOR</t>
  </si>
  <si>
    <t>MARINESCU LIDIA - dentist rural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</si>
</sst>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18]d\ mmmm\ yyyy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17" fontId="0" fillId="0" borderId="10" xfId="0" applyNumberFormat="1" applyBorder="1" applyAlignment="1">
      <alignment/>
    </xf>
    <xf numFmtId="4" fontId="8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17" fontId="1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" fontId="5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17" fontId="0" fillId="0" borderId="10" xfId="0" applyNumberFormat="1" applyBorder="1" applyAlignment="1">
      <alignment horizontal="right"/>
    </xf>
    <xf numFmtId="4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" fontId="43" fillId="0" borderId="10" xfId="0" applyNumberFormat="1" applyFont="1" applyBorder="1" applyAlignment="1">
      <alignment horizontal="center" wrapText="1"/>
    </xf>
    <xf numFmtId="4" fontId="44" fillId="0" borderId="10" xfId="0" applyNumberFormat="1" applyFont="1" applyBorder="1" applyAlignment="1">
      <alignment horizontal="center" wrapText="1"/>
    </xf>
    <xf numFmtId="4" fontId="44" fillId="0" borderId="10" xfId="0" applyNumberFormat="1" applyFont="1" applyBorder="1" applyAlignment="1">
      <alignment horizontal="center"/>
    </xf>
    <xf numFmtId="4" fontId="45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4">
      <selection activeCell="N23" sqref="N23"/>
    </sheetView>
  </sheetViews>
  <sheetFormatPr defaultColWidth="9.140625" defaultRowHeight="12.75"/>
  <cols>
    <col min="1" max="1" width="10.57421875" style="0" customWidth="1"/>
    <col min="2" max="2" width="14.00390625" style="0" customWidth="1"/>
    <col min="3" max="4" width="14.57421875" style="0" customWidth="1"/>
    <col min="5" max="5" width="14.00390625" style="0" customWidth="1"/>
    <col min="6" max="6" width="14.421875" style="0" customWidth="1"/>
    <col min="7" max="7" width="14.57421875" style="0" customWidth="1"/>
    <col min="8" max="8" width="13.8515625" style="0" customWidth="1"/>
    <col min="9" max="9" width="14.140625" style="0" customWidth="1"/>
    <col min="10" max="11" width="14.28125" style="0" customWidth="1"/>
    <col min="12" max="12" width="15.00390625" style="0" customWidth="1"/>
    <col min="13" max="13" width="14.8515625" style="0" customWidth="1"/>
    <col min="14" max="14" width="17.57421875" style="0" customWidth="1"/>
    <col min="15" max="15" width="16.00390625" style="0" customWidth="1"/>
  </cols>
  <sheetData>
    <row r="1" ht="12.75">
      <c r="A1" s="4"/>
    </row>
    <row r="3" ht="12.75">
      <c r="A3" s="5" t="s">
        <v>20</v>
      </c>
    </row>
    <row r="4" ht="12.75">
      <c r="A4" s="5"/>
    </row>
    <row r="5" spans="2:14" ht="12.75"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J5">
        <v>9</v>
      </c>
      <c r="K5">
        <v>10</v>
      </c>
      <c r="L5">
        <v>11</v>
      </c>
      <c r="M5">
        <v>12</v>
      </c>
      <c r="N5">
        <v>13</v>
      </c>
    </row>
    <row r="6" spans="1:15" ht="12.75">
      <c r="A6" s="25" t="s">
        <v>11</v>
      </c>
      <c r="B6" s="27" t="s">
        <v>21</v>
      </c>
      <c r="C6" s="28"/>
      <c r="D6" s="28"/>
      <c r="E6" s="28"/>
      <c r="F6" s="28"/>
      <c r="G6" s="28"/>
      <c r="H6" s="28"/>
      <c r="I6" s="28"/>
      <c r="J6" s="28"/>
      <c r="K6" s="29"/>
      <c r="L6" s="29"/>
      <c r="M6" s="29"/>
      <c r="N6" s="29"/>
      <c r="O6" s="17" t="s">
        <v>0</v>
      </c>
    </row>
    <row r="7" spans="1:15" ht="82.5" customHeight="1">
      <c r="A7" s="26"/>
      <c r="B7" s="30" t="s">
        <v>1</v>
      </c>
      <c r="C7" s="8" t="s">
        <v>2</v>
      </c>
      <c r="D7" s="8" t="s">
        <v>22</v>
      </c>
      <c r="E7" s="8" t="s">
        <v>3</v>
      </c>
      <c r="F7" s="8" t="s">
        <v>4</v>
      </c>
      <c r="G7" s="18" t="s">
        <v>12</v>
      </c>
      <c r="H7" s="18" t="s">
        <v>5</v>
      </c>
      <c r="I7" s="18" t="s">
        <v>6</v>
      </c>
      <c r="J7" s="8" t="s">
        <v>7</v>
      </c>
      <c r="K7" s="17" t="s">
        <v>8</v>
      </c>
      <c r="L7" s="19" t="s">
        <v>13</v>
      </c>
      <c r="M7" s="17" t="s">
        <v>9</v>
      </c>
      <c r="N7" s="17" t="s">
        <v>10</v>
      </c>
      <c r="O7" s="17" t="s">
        <v>0</v>
      </c>
    </row>
    <row r="8" spans="1:15" ht="25.5">
      <c r="A8" s="7"/>
      <c r="B8" s="30" t="s">
        <v>14</v>
      </c>
      <c r="C8" s="8" t="s">
        <v>14</v>
      </c>
      <c r="D8" s="8" t="s">
        <v>14</v>
      </c>
      <c r="E8" s="8" t="s">
        <v>14</v>
      </c>
      <c r="F8" s="8" t="s">
        <v>14</v>
      </c>
      <c r="G8" s="8" t="s">
        <v>14</v>
      </c>
      <c r="H8" s="8" t="s">
        <v>14</v>
      </c>
      <c r="I8" s="8" t="s">
        <v>14</v>
      </c>
      <c r="J8" s="8" t="s">
        <v>14</v>
      </c>
      <c r="K8" s="8" t="s">
        <v>14</v>
      </c>
      <c r="L8" s="9" t="s">
        <v>14</v>
      </c>
      <c r="M8" s="8" t="s">
        <v>14</v>
      </c>
      <c r="N8" s="8" t="s">
        <v>14</v>
      </c>
      <c r="O8" s="8" t="s">
        <v>14</v>
      </c>
    </row>
    <row r="9" spans="1:15" ht="12.75">
      <c r="A9" s="12">
        <v>44197</v>
      </c>
      <c r="B9" s="31">
        <f>2541+193-126</f>
        <v>2608</v>
      </c>
      <c r="C9" s="3">
        <f>2118+160-115.2</f>
        <v>2162.8</v>
      </c>
      <c r="D9" s="21">
        <f>2541+193+9</f>
        <v>2743</v>
      </c>
      <c r="E9" s="21">
        <f>2541+193</f>
        <v>2734</v>
      </c>
      <c r="F9" s="21">
        <f>2541+193-2.2</f>
        <v>2731.8</v>
      </c>
      <c r="G9" s="21">
        <f>2541+193-37</f>
        <v>2697</v>
      </c>
      <c r="H9" s="21">
        <f>2541+193+82</f>
        <v>2816</v>
      </c>
      <c r="I9" s="21">
        <f>2541+193-100</f>
        <v>2634</v>
      </c>
      <c r="J9" s="21">
        <f>2541+193-24.4</f>
        <v>2709.6</v>
      </c>
      <c r="K9" s="21">
        <f>2541+193-24</f>
        <v>2710</v>
      </c>
      <c r="L9" s="13">
        <f>2541+193-39.6</f>
        <v>2694.4</v>
      </c>
      <c r="M9" s="3">
        <f>2541+193</f>
        <v>2734</v>
      </c>
      <c r="N9" s="24">
        <f>3390+258-6</f>
        <v>3642</v>
      </c>
      <c r="O9" s="11">
        <f aca="true" t="shared" si="0" ref="O9:O25">B9+C9+D9+E9+F9+G9+H9+I9+J9+K9+L9+M9+N9</f>
        <v>35616.6</v>
      </c>
    </row>
    <row r="10" spans="1:15" ht="12.75">
      <c r="A10" s="12">
        <v>44228</v>
      </c>
      <c r="B10" s="31">
        <f>2735+126-337</f>
        <v>2524</v>
      </c>
      <c r="C10" s="3">
        <f>2279+115.2-258.2</f>
        <v>2136</v>
      </c>
      <c r="D10" s="22">
        <f>2734-9+22</f>
        <v>2747</v>
      </c>
      <c r="E10" s="21">
        <f>2735-79.2</f>
        <v>2655.8</v>
      </c>
      <c r="F10" s="22">
        <f>2734+2.2-50.4</f>
        <v>2685.7999999999997</v>
      </c>
      <c r="G10" s="22">
        <f>2734+37-60</f>
        <v>2711</v>
      </c>
      <c r="H10" s="22">
        <f>2734-82+243</f>
        <v>2895</v>
      </c>
      <c r="I10" s="21">
        <f>2735+100-183</f>
        <v>2652</v>
      </c>
      <c r="J10" s="22">
        <f>2734+24.4-118</f>
        <v>2640.4</v>
      </c>
      <c r="K10" s="22">
        <f>2734+24-257</f>
        <v>2501</v>
      </c>
      <c r="L10" s="10">
        <f>2734+39.6-1239.6</f>
        <v>1534</v>
      </c>
      <c r="M10" s="2">
        <f>2734-10</f>
        <v>2724</v>
      </c>
      <c r="N10" s="24">
        <f>3644+6-80</f>
        <v>3570</v>
      </c>
      <c r="O10" s="11">
        <f t="shared" si="0"/>
        <v>33976</v>
      </c>
    </row>
    <row r="11" spans="1:15" ht="12.75">
      <c r="A11" s="12">
        <v>44256</v>
      </c>
      <c r="B11" s="32">
        <f>2959+337+101.89-374.89</f>
        <v>3023</v>
      </c>
      <c r="C11" s="3">
        <f>2466+258.2+84.91-373.11</f>
        <v>2435.9999999999995</v>
      </c>
      <c r="D11" s="22">
        <f>2959-22+101.88-10.88</f>
        <v>3028</v>
      </c>
      <c r="E11" s="22">
        <f>2959+79.2+101.89-94.89</f>
        <v>3045.2</v>
      </c>
      <c r="F11" s="22">
        <f>2959+50.4+101.88-38.48</f>
        <v>3072.8</v>
      </c>
      <c r="G11" s="22">
        <f>2959+60+101.88-13.88</f>
        <v>3107</v>
      </c>
      <c r="H11" s="22">
        <f>2959-243+101.88-31.88</f>
        <v>2786</v>
      </c>
      <c r="I11" s="22">
        <f>2959+183+101.89-144.89</f>
        <v>3099</v>
      </c>
      <c r="J11" s="22">
        <f>2959+118+101.88-10.88</f>
        <v>3168</v>
      </c>
      <c r="K11" s="22">
        <f>2959+257+101.88-147.88</f>
        <v>3170</v>
      </c>
      <c r="L11" s="10">
        <v>0</v>
      </c>
      <c r="M11" s="24">
        <f>2959+10+101.88-24.88</f>
        <v>3046</v>
      </c>
      <c r="N11" s="2">
        <f>3944+80+135.86-34.86</f>
        <v>4125</v>
      </c>
      <c r="O11" s="11">
        <f t="shared" si="0"/>
        <v>37106</v>
      </c>
    </row>
    <row r="12" spans="1:15" ht="12.75">
      <c r="A12" s="6" t="s">
        <v>15</v>
      </c>
      <c r="B12" s="33">
        <f aca="true" t="shared" si="1" ref="B12:N12">SUM(B9:B11)</f>
        <v>8155</v>
      </c>
      <c r="C12" s="14">
        <f t="shared" si="1"/>
        <v>6734.799999999999</v>
      </c>
      <c r="D12" s="14">
        <f t="shared" si="1"/>
        <v>8518</v>
      </c>
      <c r="E12" s="14">
        <f t="shared" si="1"/>
        <v>8435</v>
      </c>
      <c r="F12" s="14">
        <f t="shared" si="1"/>
        <v>8490.400000000001</v>
      </c>
      <c r="G12" s="14">
        <f t="shared" si="1"/>
        <v>8515</v>
      </c>
      <c r="H12" s="14">
        <f t="shared" si="1"/>
        <v>8497</v>
      </c>
      <c r="I12" s="14">
        <f t="shared" si="1"/>
        <v>8385</v>
      </c>
      <c r="J12" s="14">
        <f t="shared" si="1"/>
        <v>8518</v>
      </c>
      <c r="K12" s="14">
        <f t="shared" si="1"/>
        <v>8381</v>
      </c>
      <c r="L12" s="15">
        <f t="shared" si="1"/>
        <v>4228.4</v>
      </c>
      <c r="M12" s="14">
        <f t="shared" si="1"/>
        <v>8504</v>
      </c>
      <c r="N12" s="14">
        <f t="shared" si="1"/>
        <v>11337</v>
      </c>
      <c r="O12" s="11">
        <f t="shared" si="0"/>
        <v>106698.59999999999</v>
      </c>
    </row>
    <row r="13" spans="1:15" ht="12.75">
      <c r="A13" s="12">
        <v>44287</v>
      </c>
      <c r="B13" s="31">
        <f>3205.48-14.48</f>
        <v>3191</v>
      </c>
      <c r="C13" s="22">
        <f>2671.22-5.02</f>
        <v>2666.2</v>
      </c>
      <c r="D13" s="21">
        <f>3205.48+177.4-613.88</f>
        <v>2769</v>
      </c>
      <c r="E13" s="21">
        <f>3205.48-138.28</f>
        <v>3067.2</v>
      </c>
      <c r="F13" s="21">
        <f>3205.48+177.4-179.28</f>
        <v>3203.6</v>
      </c>
      <c r="G13" s="21">
        <f>3205.48+177.4-6.88</f>
        <v>3376</v>
      </c>
      <c r="H13" s="21">
        <f>3205.48+177.4+1.12</f>
        <v>3384</v>
      </c>
      <c r="I13" s="21">
        <f>3205.48+1.52</f>
        <v>3207</v>
      </c>
      <c r="J13" s="21">
        <f>3205.48+177.4-17.48</f>
        <v>3365.4</v>
      </c>
      <c r="K13" s="21">
        <f>3205.48-106.48</f>
        <v>3099</v>
      </c>
      <c r="L13" s="10">
        <v>0</v>
      </c>
      <c r="M13" s="3">
        <f>3205.48+177.4-207.88</f>
        <v>3175</v>
      </c>
      <c r="N13" s="2">
        <f>4273.98+237-2.98</f>
        <v>4508</v>
      </c>
      <c r="O13" s="11">
        <f t="shared" si="0"/>
        <v>39011.4</v>
      </c>
    </row>
    <row r="14" spans="1:15" ht="12.75">
      <c r="A14" s="12">
        <v>44317</v>
      </c>
      <c r="B14" s="31">
        <f>3205.48+14.48-116.96</f>
        <v>3103</v>
      </c>
      <c r="C14" s="22">
        <f>2671.22+5.02+0.36</f>
        <v>2676.6</v>
      </c>
      <c r="D14" s="21">
        <f>3205.48+613.88-1049.36</f>
        <v>2770</v>
      </c>
      <c r="E14" s="21">
        <f>3205.48+138.28-68.16</f>
        <v>3275.6000000000004</v>
      </c>
      <c r="F14" s="21">
        <f>3205.48+179.28-36.36</f>
        <v>3348.4</v>
      </c>
      <c r="G14" s="21">
        <f>3205.48+6.88-19.36</f>
        <v>3193</v>
      </c>
      <c r="H14" s="21">
        <f>3205.48-1.12+175.64</f>
        <v>3380</v>
      </c>
      <c r="I14" s="21">
        <f>3205.48-1.52-28.96</f>
        <v>3175</v>
      </c>
      <c r="J14" s="21">
        <f>3205.48+17.48-3.56</f>
        <v>3219.4</v>
      </c>
      <c r="K14" s="21">
        <f>3205.48+106.48-0.96</f>
        <v>3311</v>
      </c>
      <c r="L14" s="10">
        <v>0</v>
      </c>
      <c r="M14" s="3">
        <f>3205.48+207.88-219.36</f>
        <v>3194</v>
      </c>
      <c r="N14" s="2">
        <f>4273.98+2.98+0.04</f>
        <v>4276.999999999999</v>
      </c>
      <c r="O14" s="11">
        <f t="shared" si="0"/>
        <v>38923</v>
      </c>
    </row>
    <row r="15" spans="1:15" ht="12.75">
      <c r="A15" s="12">
        <v>44348</v>
      </c>
      <c r="B15" s="31">
        <f>3205.48+116.96-147.44</f>
        <v>3175</v>
      </c>
      <c r="C15" s="22">
        <f>2671.22-0.36-687.86</f>
        <v>1982.9999999999995</v>
      </c>
      <c r="D15" s="2">
        <f>3205.48+1049.36-2.84</f>
        <v>4252</v>
      </c>
      <c r="E15" s="2">
        <f>3205.48+68.16-2.84</f>
        <v>3270.7999999999997</v>
      </c>
      <c r="F15" s="2">
        <f>3205.48+36.36-226.24</f>
        <v>3015.6000000000004</v>
      </c>
      <c r="G15" s="2">
        <f>3205.48+19.36-11.84</f>
        <v>3213</v>
      </c>
      <c r="H15" s="2">
        <f>3205.48-175.64-32.84</f>
        <v>2997</v>
      </c>
      <c r="I15" s="2">
        <f>3205.48+28.96-0.44</f>
        <v>3234</v>
      </c>
      <c r="J15" s="2">
        <f>3205.48+3.56-6.44</f>
        <v>3202.6</v>
      </c>
      <c r="K15" s="2">
        <f>3205.48+0.96-8.44</f>
        <v>3198</v>
      </c>
      <c r="L15" s="10">
        <v>0</v>
      </c>
      <c r="M15" s="2">
        <f>3205.48+219.36-244.84</f>
        <v>3180</v>
      </c>
      <c r="N15" s="2">
        <f>4273.98-0.04-37.94</f>
        <v>4236</v>
      </c>
      <c r="O15" s="11">
        <f t="shared" si="0"/>
        <v>38957</v>
      </c>
    </row>
    <row r="16" spans="1:15" ht="12.75">
      <c r="A16" s="6" t="s">
        <v>16</v>
      </c>
      <c r="B16" s="33">
        <f aca="true" t="shared" si="2" ref="B16:N16">SUM(B13:B15)</f>
        <v>9469</v>
      </c>
      <c r="C16" s="14">
        <f t="shared" si="2"/>
        <v>7325.799999999999</v>
      </c>
      <c r="D16" s="14">
        <f t="shared" si="2"/>
        <v>9791</v>
      </c>
      <c r="E16" s="14">
        <f t="shared" si="2"/>
        <v>9613.6</v>
      </c>
      <c r="F16" s="14">
        <f t="shared" si="2"/>
        <v>9567.6</v>
      </c>
      <c r="G16" s="14">
        <f t="shared" si="2"/>
        <v>9782</v>
      </c>
      <c r="H16" s="14">
        <f t="shared" si="2"/>
        <v>9761</v>
      </c>
      <c r="I16" s="14">
        <f t="shared" si="2"/>
        <v>9616</v>
      </c>
      <c r="J16" s="14">
        <f t="shared" si="2"/>
        <v>9787.4</v>
      </c>
      <c r="K16" s="14">
        <f t="shared" si="2"/>
        <v>9608</v>
      </c>
      <c r="L16" s="15">
        <f t="shared" si="2"/>
        <v>0</v>
      </c>
      <c r="M16" s="14">
        <f t="shared" si="2"/>
        <v>9549</v>
      </c>
      <c r="N16" s="14">
        <f t="shared" si="2"/>
        <v>13021</v>
      </c>
      <c r="O16" s="11">
        <f t="shared" si="0"/>
        <v>116891.4</v>
      </c>
    </row>
    <row r="17" spans="1:15" ht="12.75">
      <c r="A17" s="12">
        <v>44378</v>
      </c>
      <c r="B17" s="31">
        <f>3205.48-1459.28</f>
        <v>1746.2</v>
      </c>
      <c r="C17" s="34">
        <f>2671.22-106.42</f>
        <v>2564.7999999999997</v>
      </c>
      <c r="D17" s="35">
        <f>3205.48+169.2-104.68</f>
        <v>3270</v>
      </c>
      <c r="E17" s="35">
        <f>3205.48+169.2-2.08</f>
        <v>3372.6</v>
      </c>
      <c r="F17" s="35">
        <f>3205.48-189.88</f>
        <v>3015.6</v>
      </c>
      <c r="G17" s="35">
        <f>3205.48+169.2-0.68</f>
        <v>3374</v>
      </c>
      <c r="H17" s="35">
        <f>3205.48+169.2-148.68</f>
        <v>3226</v>
      </c>
      <c r="I17" s="35">
        <f>3205.48+169.2-2.68</f>
        <v>3372</v>
      </c>
      <c r="J17" s="35">
        <f>3205.48+169.2-136.68</f>
        <v>3238</v>
      </c>
      <c r="K17" s="35">
        <f>3205.48+169.2-112.68</f>
        <v>3262</v>
      </c>
      <c r="L17" s="10">
        <v>0</v>
      </c>
      <c r="M17" s="35">
        <f>3205.48-13.48</f>
        <v>3192</v>
      </c>
      <c r="N17" s="2">
        <f>4273.98+225.6-221.58</f>
        <v>4278</v>
      </c>
      <c r="O17" s="11">
        <f t="shared" si="0"/>
        <v>37911.2</v>
      </c>
    </row>
    <row r="18" spans="1:15" ht="12.75">
      <c r="A18" s="12">
        <v>44409</v>
      </c>
      <c r="B18" s="31">
        <v>0</v>
      </c>
      <c r="C18" s="34">
        <f>2445+106.42+108.9-11.12</f>
        <v>2649.2000000000003</v>
      </c>
      <c r="D18" s="2">
        <f>2965+104.68+130.68-250.36</f>
        <v>2949.9999999999995</v>
      </c>
      <c r="E18" s="2">
        <f>2950+2.08+130.69-60.37</f>
        <v>3022.4</v>
      </c>
      <c r="F18" s="2">
        <f>2965+189.88+130.68-327.56</f>
        <v>2958</v>
      </c>
      <c r="G18" s="2">
        <f>2965+0.68+130.68-3.36</f>
        <v>3092.9999999999995</v>
      </c>
      <c r="H18" s="2">
        <f>2965+148.68+130.68+6.64</f>
        <v>3250.9999999999995</v>
      </c>
      <c r="I18" s="2">
        <f>2950+2.68+130.69+107.63</f>
        <v>3191</v>
      </c>
      <c r="J18" s="2">
        <f>2965+136.68+130.68-151.56</f>
        <v>3080.7999999999997</v>
      </c>
      <c r="K18" s="2">
        <f>2965+112.68+130.68-133.36</f>
        <v>3074.9999999999995</v>
      </c>
      <c r="L18" s="10">
        <v>0</v>
      </c>
      <c r="M18" s="2">
        <f>2965+13.48+130.68+72.84</f>
        <v>3182</v>
      </c>
      <c r="N18" s="2">
        <f>3900+221.58+174.24-18.82</f>
        <v>4277</v>
      </c>
      <c r="O18" s="11">
        <f t="shared" si="0"/>
        <v>34729.399999999994</v>
      </c>
    </row>
    <row r="19" spans="1:15" ht="12.75">
      <c r="A19" s="12">
        <v>44440</v>
      </c>
      <c r="B19" s="31">
        <v>0</v>
      </c>
      <c r="C19" s="34">
        <f>2704.26+11.12-26.98</f>
        <v>2688.4</v>
      </c>
      <c r="D19" s="2">
        <f>3214.1+250.36-10.46</f>
        <v>3454</v>
      </c>
      <c r="E19" s="2">
        <f>3229.11+60.37-78.28</f>
        <v>3211.2</v>
      </c>
      <c r="F19" s="2">
        <f>3214.1+327.56-337.26</f>
        <v>3204.3999999999996</v>
      </c>
      <c r="G19" s="2">
        <f>3214.1+3.36-2.46</f>
        <v>3215</v>
      </c>
      <c r="H19" s="2">
        <f>3214.1-6.64-59.46</f>
        <v>3148</v>
      </c>
      <c r="I19" s="2">
        <f>3229.11-107.63-11.48</f>
        <v>3110</v>
      </c>
      <c r="J19" s="2">
        <f>3214.1+151.56-146.46</f>
        <v>3219.2</v>
      </c>
      <c r="K19" s="2">
        <f>3214.1+133.36-152.46</f>
        <v>3195</v>
      </c>
      <c r="L19" s="10">
        <v>0</v>
      </c>
      <c r="M19" s="2">
        <f>3214.1-72.84-7.26</f>
        <v>3133.9999999999995</v>
      </c>
      <c r="N19" s="2">
        <f>4338.82+18.82-8.64</f>
        <v>4348.999999999999</v>
      </c>
      <c r="O19" s="11">
        <f t="shared" si="0"/>
        <v>35928.2</v>
      </c>
    </row>
    <row r="20" spans="1:15" ht="12.75">
      <c r="A20" s="6" t="s">
        <v>17</v>
      </c>
      <c r="B20" s="33">
        <f>B17+B18+B19</f>
        <v>1746.2</v>
      </c>
      <c r="C20" s="14">
        <f aca="true" t="shared" si="3" ref="C20:N20">C17+C18+C19</f>
        <v>7902.4</v>
      </c>
      <c r="D20" s="14">
        <f t="shared" si="3"/>
        <v>9674</v>
      </c>
      <c r="E20" s="14">
        <f t="shared" si="3"/>
        <v>9606.2</v>
      </c>
      <c r="F20" s="14">
        <f t="shared" si="3"/>
        <v>9178</v>
      </c>
      <c r="G20" s="14">
        <f t="shared" si="3"/>
        <v>9682</v>
      </c>
      <c r="H20" s="14">
        <f t="shared" si="3"/>
        <v>9625</v>
      </c>
      <c r="I20" s="14">
        <f t="shared" si="3"/>
        <v>9673</v>
      </c>
      <c r="J20" s="14">
        <f t="shared" si="3"/>
        <v>9538</v>
      </c>
      <c r="K20" s="14">
        <f t="shared" si="3"/>
        <v>9532</v>
      </c>
      <c r="L20" s="15">
        <f t="shared" si="3"/>
        <v>0</v>
      </c>
      <c r="M20" s="14">
        <f t="shared" si="3"/>
        <v>9508</v>
      </c>
      <c r="N20" s="14">
        <f t="shared" si="3"/>
        <v>12904</v>
      </c>
      <c r="O20" s="11">
        <f t="shared" si="0"/>
        <v>108568.8</v>
      </c>
    </row>
    <row r="21" spans="1:15" ht="12.75">
      <c r="A21" s="12">
        <v>44470</v>
      </c>
      <c r="B21" s="31">
        <v>0</v>
      </c>
      <c r="C21" s="34">
        <f>2600+447+113.68-8.08</f>
        <v>3152.6</v>
      </c>
      <c r="D21" s="34">
        <f>3128+537+136.41+166.59</f>
        <v>3968</v>
      </c>
      <c r="E21" s="34">
        <f>3150+539-97.4</f>
        <v>3591.6</v>
      </c>
      <c r="F21" s="34">
        <f>3128+537-8.2</f>
        <v>3656.8</v>
      </c>
      <c r="G21" s="34">
        <f>3128+537+136.41-11.41</f>
        <v>3790</v>
      </c>
      <c r="H21" s="34">
        <f>3128+537+125</f>
        <v>3790</v>
      </c>
      <c r="I21" s="34">
        <f>3150+539+136.41-147.41</f>
        <v>3678</v>
      </c>
      <c r="J21" s="34">
        <f>3128+537-9</f>
        <v>3656</v>
      </c>
      <c r="K21" s="34">
        <f>3128+537-23</f>
        <v>3642</v>
      </c>
      <c r="L21" s="10">
        <v>0</v>
      </c>
      <c r="M21" s="34">
        <f>3128+537+136.41-188.41</f>
        <v>3613</v>
      </c>
      <c r="N21" s="2">
        <f>4204+716+181.88-104.88</f>
        <v>4997</v>
      </c>
      <c r="O21" s="11">
        <f t="shared" si="0"/>
        <v>41535</v>
      </c>
    </row>
    <row r="22" spans="1:15" ht="12.75">
      <c r="A22" s="20">
        <v>44501</v>
      </c>
      <c r="B22" s="31">
        <v>0</v>
      </c>
      <c r="C22" s="22">
        <v>2825.6</v>
      </c>
      <c r="D22" s="22">
        <v>3517</v>
      </c>
      <c r="E22" s="22">
        <v>3673.8</v>
      </c>
      <c r="F22" s="22">
        <v>3714.4</v>
      </c>
      <c r="G22" s="22">
        <v>3749</v>
      </c>
      <c r="H22" s="22">
        <v>3692</v>
      </c>
      <c r="I22" s="22">
        <v>3477</v>
      </c>
      <c r="J22" s="22">
        <v>3745.6</v>
      </c>
      <c r="K22" s="22">
        <v>3831</v>
      </c>
      <c r="L22" s="10">
        <v>0</v>
      </c>
      <c r="M22" s="24">
        <v>3664</v>
      </c>
      <c r="N22" s="2">
        <v>4907</v>
      </c>
      <c r="O22" s="11">
        <f t="shared" si="0"/>
        <v>40796.4</v>
      </c>
    </row>
    <row r="23" spans="1:15" ht="12.75">
      <c r="A23" s="12">
        <v>44531</v>
      </c>
      <c r="B23" s="32">
        <v>0</v>
      </c>
      <c r="C23" s="2">
        <f>1207.65+1044.5+747</f>
        <v>2999.15</v>
      </c>
      <c r="D23" s="34">
        <f>1439.39+1254.5+896.42</f>
        <v>3590.3100000000004</v>
      </c>
      <c r="E23" s="34">
        <f>1421.39+1251+896.42-5.8+88.18</f>
        <v>3651.19</v>
      </c>
      <c r="F23" s="34">
        <f>1439.39+1254.5+896.42</f>
        <v>3590.3100000000004</v>
      </c>
      <c r="G23" s="34">
        <f>1439.39+1254.5+896.42+88.18</f>
        <v>3678.4900000000002</v>
      </c>
      <c r="H23" s="34">
        <f>1439.39+1254.5+896.42-58.52+88.18</f>
        <v>3619.9700000000003</v>
      </c>
      <c r="I23" s="34">
        <f>1421.39+1251+896.42</f>
        <v>3568.8100000000004</v>
      </c>
      <c r="J23" s="34">
        <f>1439.39+1254.5+896.42+88.18</f>
        <v>3678.4900000000002</v>
      </c>
      <c r="K23" s="34">
        <f>1439.39+1254.5+896.42-72.52+88.18</f>
        <v>3605.9700000000003</v>
      </c>
      <c r="L23" s="10">
        <v>0</v>
      </c>
      <c r="M23" s="34">
        <f>1439.39+1254.5+896.42+88.18</f>
        <v>3678.4900000000002</v>
      </c>
      <c r="N23" s="2">
        <f>1873.84+1672+1195.22+117.56</f>
        <v>4858.620000000001</v>
      </c>
      <c r="O23" s="11">
        <f t="shared" si="0"/>
        <v>40519.80000000001</v>
      </c>
    </row>
    <row r="24" spans="1:15" ht="38.25">
      <c r="A24" s="1" t="s">
        <v>18</v>
      </c>
      <c r="B24" s="33">
        <f>B21+B22+B23</f>
        <v>0</v>
      </c>
      <c r="C24" s="14">
        <f aca="true" t="shared" si="4" ref="C24:O24">C21+C22+C23</f>
        <v>8977.35</v>
      </c>
      <c r="D24" s="14">
        <f t="shared" si="4"/>
        <v>11075.310000000001</v>
      </c>
      <c r="E24" s="14">
        <f t="shared" si="4"/>
        <v>10916.59</v>
      </c>
      <c r="F24" s="14">
        <f t="shared" si="4"/>
        <v>10961.510000000002</v>
      </c>
      <c r="G24" s="14">
        <f t="shared" si="4"/>
        <v>11217.49</v>
      </c>
      <c r="H24" s="14">
        <f t="shared" si="4"/>
        <v>11101.970000000001</v>
      </c>
      <c r="I24" s="14">
        <f t="shared" si="4"/>
        <v>10723.810000000001</v>
      </c>
      <c r="J24" s="14">
        <f t="shared" si="4"/>
        <v>11080.09</v>
      </c>
      <c r="K24" s="14">
        <f t="shared" si="4"/>
        <v>11078.970000000001</v>
      </c>
      <c r="L24" s="23">
        <f t="shared" si="4"/>
        <v>0</v>
      </c>
      <c r="M24" s="14">
        <f t="shared" si="4"/>
        <v>10955.49</v>
      </c>
      <c r="N24" s="14">
        <f t="shared" si="4"/>
        <v>14762.62</v>
      </c>
      <c r="O24" s="14">
        <f t="shared" si="4"/>
        <v>122851.20000000001</v>
      </c>
    </row>
    <row r="25" spans="1:15" ht="28.5" customHeight="1">
      <c r="A25" s="16" t="s">
        <v>19</v>
      </c>
      <c r="B25" s="33">
        <f>B12+B16+B20+B24</f>
        <v>19370.2</v>
      </c>
      <c r="C25" s="14">
        <f aca="true" t="shared" si="5" ref="C25:N25">C12+C16+C20+C24</f>
        <v>30940.35</v>
      </c>
      <c r="D25" s="14">
        <f t="shared" si="5"/>
        <v>39058.31</v>
      </c>
      <c r="E25" s="14">
        <f t="shared" si="5"/>
        <v>38571.39</v>
      </c>
      <c r="F25" s="14">
        <f t="shared" si="5"/>
        <v>38197.51</v>
      </c>
      <c r="G25" s="14">
        <f t="shared" si="5"/>
        <v>39196.49</v>
      </c>
      <c r="H25" s="14">
        <f t="shared" si="5"/>
        <v>38984.97</v>
      </c>
      <c r="I25" s="14">
        <f t="shared" si="5"/>
        <v>38397.81</v>
      </c>
      <c r="J25" s="14">
        <f t="shared" si="5"/>
        <v>38923.490000000005</v>
      </c>
      <c r="K25" s="14">
        <f t="shared" si="5"/>
        <v>38599.97</v>
      </c>
      <c r="L25" s="15">
        <f t="shared" si="5"/>
        <v>4228.4</v>
      </c>
      <c r="M25" s="14">
        <f t="shared" si="5"/>
        <v>38516.49</v>
      </c>
      <c r="N25" s="14">
        <f t="shared" si="5"/>
        <v>52024.62</v>
      </c>
      <c r="O25" s="11">
        <f t="shared" si="0"/>
        <v>455010</v>
      </c>
    </row>
  </sheetData>
  <sheetProtection/>
  <mergeCells count="2">
    <mergeCell ref="A6:A7"/>
    <mergeCell ref="B6:N6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r:id="rId1"/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Cata</cp:lastModifiedBy>
  <cp:lastPrinted>2021-04-05T07:48:53Z</cp:lastPrinted>
  <dcterms:created xsi:type="dcterms:W3CDTF">2014-10-10T07:28:49Z</dcterms:created>
  <dcterms:modified xsi:type="dcterms:W3CDTF">2022-02-28T15:49:31Z</dcterms:modified>
  <cp:category/>
  <cp:version/>
  <cp:contentType/>
  <cp:contentStatus/>
</cp:coreProperties>
</file>